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Úseky\Úsek CRM a Marketingu\Strategie služeb a CRM\Hynek\"/>
    </mc:Choice>
  </mc:AlternateContent>
  <xr:revisionPtr revIDLastSave="0" documentId="13_ncr:1_{B999CEA2-C4D2-4B9D-8ED9-0EFFE04A46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alkulack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J16" i="4"/>
  <c r="J15" i="4"/>
  <c r="J14" i="4"/>
  <c r="F21" i="4"/>
  <c r="F20" i="4"/>
  <c r="F19" i="4"/>
  <c r="F16" i="4"/>
  <c r="F14" i="4"/>
  <c r="J20" i="4"/>
  <c r="F31" i="4" l="1"/>
  <c r="F32" i="4"/>
  <c r="F33" i="4"/>
  <c r="J33" i="4"/>
  <c r="J32" i="4"/>
  <c r="J31" i="4"/>
  <c r="J30" i="4"/>
  <c r="J19" i="4"/>
  <c r="F18" i="4"/>
  <c r="F22" i="4" s="1"/>
  <c r="J21" i="4"/>
  <c r="F17" i="4"/>
  <c r="B42" i="4"/>
  <c r="F30" i="4"/>
  <c r="J29" i="4"/>
  <c r="J28" i="4"/>
  <c r="F28" i="4"/>
  <c r="P18" i="4"/>
  <c r="O18" i="4"/>
  <c r="J22" i="4" l="1"/>
  <c r="I40" i="4" s="1"/>
  <c r="J34" i="4"/>
  <c r="F34" i="4"/>
  <c r="J17" i="4"/>
  <c r="I42" i="4" l="1"/>
  <c r="I41" i="4"/>
</calcChain>
</file>

<file path=xl/sharedStrings.xml><?xml version="1.0" encoding="utf-8"?>
<sst xmlns="http://schemas.openxmlformats.org/spreadsheetml/2006/main" count="111" uniqueCount="46">
  <si>
    <t>Hrubá měsíční mzda:</t>
  </si>
  <si>
    <t>Hrubá roční mzda:</t>
  </si>
  <si>
    <t>Superhrubá roční mzda:</t>
  </si>
  <si>
    <t>Sociální pojištění</t>
  </si>
  <si>
    <t>Zdravotní pojištění:</t>
  </si>
  <si>
    <t>Daňová povinnost:</t>
  </si>
  <si>
    <t>Přímé navýšení mzdy</t>
  </si>
  <si>
    <t>Navýšení mzdy formou penzijního příspěvku</t>
  </si>
  <si>
    <t>Měsíční příspěvek zaměstnavatele:</t>
  </si>
  <si>
    <t>Čistý příjem:</t>
  </si>
  <si>
    <t>Celkové náklady:</t>
  </si>
  <si>
    <t>Roční sleva na poplatníka</t>
  </si>
  <si>
    <t>Zaměstnanec, úspora / ročně:</t>
  </si>
  <si>
    <t>Zaměstnavatel, úspora na jednoho zaměstnance / ročně:</t>
  </si>
  <si>
    <t>Výše ročních PZAMů nepodléhající zdanění</t>
  </si>
  <si>
    <t>Výše odvodů a zdanění mzdy</t>
  </si>
  <si>
    <t>Zaměstnanec</t>
  </si>
  <si>
    <t>Zaměstnavatel</t>
  </si>
  <si>
    <t>Zdravotní pojištění</t>
  </si>
  <si>
    <t>Odvody celkem</t>
  </si>
  <si>
    <t>Srážková daň</t>
  </si>
  <si>
    <t>https://www.kurzy.cz/kalkulacka/mzdova-kalkulacka/</t>
  </si>
  <si>
    <t>zdroj (oprava odvodů zaměstnavatele na sociálním)</t>
  </si>
  <si>
    <t>zdroj (aktualizace roční slevy na poplatníka)</t>
  </si>
  <si>
    <t>zdrav</t>
  </si>
  <si>
    <t>daň zaměstnance ze Superhrubé mzdy = 1, z Hrubé mzdy = 0</t>
  </si>
  <si>
    <t>soc</t>
  </si>
  <si>
    <t>pro rok</t>
  </si>
  <si>
    <t>-</t>
  </si>
  <si>
    <t>zdroj</t>
  </si>
  <si>
    <t>https://www.finance.cz/dane-a-mzda/mzda/vypocet-mzdy-a-zalohy-na-dan/prekroceni-maximalniho-vymerovaciho-zakladu/</t>
  </si>
  <si>
    <t>stropy pro základ soc., zdrav. pojištění</t>
  </si>
  <si>
    <t>Nemocenské pojištění</t>
  </si>
  <si>
    <t>https://www.businessinfo.cz/clanky/jake-muzete-vyuzit-slevy-na-danich-nektere-rusi-vladni-balicek/</t>
  </si>
  <si>
    <t>vynecháno</t>
  </si>
  <si>
    <t>Nemocenské pojištění:</t>
  </si>
  <si>
    <t>Průměrná hrubá mzda zaměstnance:</t>
  </si>
  <si>
    <t>Počet zaměstnanců:</t>
  </si>
  <si>
    <t>Kč</t>
  </si>
  <si>
    <t>Kolik ušetříte Vy a Vaše firma</t>
  </si>
  <si>
    <t>Daňová úspora z příspěvku zaměstnavatele na odvodech sociálního a zdravotního pojištění a v případě zaměstnance i na dani z příjmů.</t>
  </si>
  <si>
    <t>Sociální pojištění:</t>
  </si>
  <si>
    <t>A.  Výhody pro zaměstnance</t>
  </si>
  <si>
    <t>B.  Výhody pro zaměstnavatele</t>
  </si>
  <si>
    <t>*Výpočet je pouze ilustrativní</t>
  </si>
  <si>
    <t>Daňová úspora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</si>
</sst>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27.5"/>
      <color rgb="FF282E38"/>
      <name val="Roboto"/>
    </font>
    <font>
      <sz val="27.5"/>
      <color rgb="FFC00000"/>
      <name val="Roboto"/>
    </font>
    <font>
      <b/>
      <sz val="14"/>
      <color theme="0"/>
      <name val="Roboto"/>
    </font>
    <font>
      <b/>
      <sz val="14"/>
      <color rgb="FFC00000"/>
      <name val="Roboto"/>
    </font>
    <font>
      <i/>
      <sz val="8"/>
      <color rgb="FF282E38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7" fillId="2" borderId="0" xfId="1" applyFill="1"/>
    <xf numFmtId="0" fontId="4" fillId="2" borderId="0" xfId="0" applyFont="1" applyFill="1"/>
    <xf numFmtId="3" fontId="4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3" fontId="10" fillId="2" borderId="0" xfId="0" applyNumberFormat="1" applyFont="1" applyFill="1"/>
    <xf numFmtId="0" fontId="1" fillId="2" borderId="0" xfId="0" applyFont="1" applyFill="1"/>
    <xf numFmtId="0" fontId="0" fillId="2" borderId="0" xfId="0" applyFill="1" applyAlignment="1"/>
    <xf numFmtId="0" fontId="5" fillId="2" borderId="0" xfId="0" applyFont="1" applyFill="1"/>
    <xf numFmtId="0" fontId="0" fillId="2" borderId="0" xfId="0" applyFill="1" applyAlignment="1">
      <alignment horizontal="left"/>
    </xf>
    <xf numFmtId="0" fontId="0" fillId="3" borderId="0" xfId="0" applyFill="1"/>
    <xf numFmtId="3" fontId="1" fillId="3" borderId="0" xfId="0" applyNumberFormat="1" applyFont="1" applyFill="1"/>
    <xf numFmtId="0" fontId="11" fillId="4" borderId="0" xfId="0" applyFont="1" applyFill="1"/>
    <xf numFmtId="0" fontId="11" fillId="2" borderId="0" xfId="0" applyFont="1" applyFill="1"/>
    <xf numFmtId="0" fontId="13" fillId="6" borderId="0" xfId="0" applyFont="1" applyFill="1"/>
    <xf numFmtId="0" fontId="13" fillId="6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3" fontId="9" fillId="2" borderId="0" xfId="0" applyNumberFormat="1" applyFont="1" applyFill="1" applyBorder="1"/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6" borderId="0" xfId="0" applyFont="1" applyFill="1"/>
    <xf numFmtId="0" fontId="0" fillId="2" borderId="0" xfId="0" applyFill="1" applyAlignment="1">
      <alignment horizontal="left" vertical="center" wrapText="1" shrinkToFit="1"/>
    </xf>
    <xf numFmtId="3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0" xfId="0" applyFont="1" applyFill="1"/>
    <xf numFmtId="0" fontId="1" fillId="3" borderId="0" xfId="0" applyFont="1" applyFill="1"/>
    <xf numFmtId="0" fontId="17" fillId="2" borderId="0" xfId="0" applyFont="1" applyFill="1" applyAlignment="1">
      <alignment horizontal="left"/>
    </xf>
    <xf numFmtId="3" fontId="12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/>
    </xf>
    <xf numFmtId="9" fontId="3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3" fontId="4" fillId="7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3" fontId="4" fillId="3" borderId="0" xfId="0" applyNumberFormat="1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9" fontId="3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0" fontId="0" fillId="2" borderId="0" xfId="0" applyNumberFormat="1" applyFill="1" applyAlignment="1">
      <alignment vertical="center"/>
    </xf>
    <xf numFmtId="0" fontId="0" fillId="2" borderId="7" xfId="0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1" fillId="5" borderId="9" xfId="0" applyNumberFormat="1" applyFon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10" xfId="0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ce.cz/dane-a-mzda/mzda/vypocet-mzdy-a-zalohy-na-dan/prekroceni-maximalniho-vymerovaciho-zakladu/" TargetMode="External"/><Relationship Id="rId2" Type="http://schemas.openxmlformats.org/officeDocument/2006/relationships/hyperlink" Target="https://www.kurzy.cz/kalkulacka/mzdova-kalkulacka/" TargetMode="External"/><Relationship Id="rId1" Type="http://schemas.openxmlformats.org/officeDocument/2006/relationships/hyperlink" Target="https://www.businessinfo.cz/clanky/jake-muzete-vyuzit-slevy-na-danich-nektere-rusi-vladni-balicek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A551-1452-462E-A2DF-36385398F7C1}">
  <sheetPr>
    <pageSetUpPr fitToPage="1"/>
  </sheetPr>
  <dimension ref="A1:AC45"/>
  <sheetViews>
    <sheetView tabSelected="1" workbookViewId="0">
      <selection activeCell="G5" sqref="G5"/>
    </sheetView>
  </sheetViews>
  <sheetFormatPr defaultRowHeight="14.5" x14ac:dyDescent="0.35"/>
  <cols>
    <col min="1" max="5" width="8.7265625" style="1"/>
    <col min="6" max="6" width="9.90625" style="1" bestFit="1" customWidth="1"/>
    <col min="7" max="7" width="8.7265625" style="1"/>
    <col min="8" max="8" width="12.54296875" style="1" customWidth="1"/>
    <col min="9" max="9" width="24.08984375" style="2" customWidth="1"/>
    <col min="10" max="10" width="9.90625" style="1" bestFit="1" customWidth="1"/>
    <col min="11" max="28" width="0" style="1" hidden="1" customWidth="1"/>
    <col min="29" max="29" width="3" style="1" customWidth="1"/>
    <col min="30" max="16384" width="8.7265625" style="1"/>
  </cols>
  <sheetData>
    <row r="1" spans="2:29" x14ac:dyDescent="0.35">
      <c r="O1" s="1">
        <v>2020</v>
      </c>
      <c r="P1" s="1">
        <v>2021</v>
      </c>
      <c r="Q1" s="1">
        <v>2022</v>
      </c>
      <c r="R1" s="1">
        <v>2023</v>
      </c>
      <c r="S1" s="1" t="s">
        <v>23</v>
      </c>
    </row>
    <row r="2" spans="2:29" ht="35" x14ac:dyDescent="0.35">
      <c r="B2" s="24" t="s">
        <v>39</v>
      </c>
      <c r="I2" s="23"/>
      <c r="N2" s="3" t="s">
        <v>11</v>
      </c>
      <c r="O2" s="4">
        <v>24840</v>
      </c>
      <c r="P2" s="4">
        <v>27840</v>
      </c>
      <c r="Q2" s="4">
        <v>30840</v>
      </c>
      <c r="R2" s="4">
        <v>30840</v>
      </c>
      <c r="S2" s="5" t="s">
        <v>33</v>
      </c>
    </row>
    <row r="3" spans="2:29" x14ac:dyDescent="0.35">
      <c r="N3" s="3" t="s">
        <v>14</v>
      </c>
      <c r="O3" s="4">
        <v>50000</v>
      </c>
    </row>
    <row r="4" spans="2:29" x14ac:dyDescent="0.35">
      <c r="N4" s="3"/>
      <c r="O4" s="4"/>
    </row>
    <row r="5" spans="2:29" x14ac:dyDescent="0.35">
      <c r="C5" s="63" t="s">
        <v>36</v>
      </c>
      <c r="D5" s="63"/>
      <c r="E5" s="63"/>
      <c r="F5" s="68"/>
      <c r="G5" s="62">
        <v>20000</v>
      </c>
      <c r="H5" s="11" t="s">
        <v>38</v>
      </c>
      <c r="N5" s="3" t="s">
        <v>25</v>
      </c>
      <c r="O5" s="1">
        <v>0</v>
      </c>
    </row>
    <row r="6" spans="2:29" x14ac:dyDescent="0.35">
      <c r="C6" s="63" t="s">
        <v>8</v>
      </c>
      <c r="D6" s="63"/>
      <c r="E6" s="63"/>
      <c r="F6" s="68"/>
      <c r="G6" s="62">
        <v>500</v>
      </c>
      <c r="H6" s="11" t="s">
        <v>38</v>
      </c>
      <c r="N6" s="3" t="s">
        <v>31</v>
      </c>
      <c r="O6" s="3" t="s">
        <v>29</v>
      </c>
      <c r="P6" s="5" t="s">
        <v>30</v>
      </c>
    </row>
    <row r="7" spans="2:29" x14ac:dyDescent="0.35">
      <c r="C7" s="63" t="s">
        <v>37</v>
      </c>
      <c r="D7" s="63"/>
      <c r="E7" s="63"/>
      <c r="F7" s="68"/>
      <c r="G7" s="62">
        <v>3</v>
      </c>
      <c r="N7" s="3" t="s">
        <v>27</v>
      </c>
      <c r="O7" s="1">
        <v>2024</v>
      </c>
      <c r="P7" s="6">
        <v>2023</v>
      </c>
      <c r="Q7" s="6">
        <v>2022</v>
      </c>
      <c r="R7" s="6">
        <v>2021</v>
      </c>
      <c r="S7" s="6">
        <v>2020</v>
      </c>
      <c r="T7" s="6">
        <v>2019</v>
      </c>
      <c r="U7" s="6">
        <v>2018</v>
      </c>
      <c r="V7" s="6">
        <v>2017</v>
      </c>
      <c r="W7" s="6">
        <v>2016</v>
      </c>
      <c r="X7" s="6">
        <v>2015</v>
      </c>
      <c r="Y7" s="6">
        <v>2014</v>
      </c>
      <c r="Z7" s="6">
        <v>2013</v>
      </c>
      <c r="AA7" s="1">
        <v>2012</v>
      </c>
    </row>
    <row r="8" spans="2:29" x14ac:dyDescent="0.35">
      <c r="C8" s="2"/>
      <c r="D8" s="2"/>
      <c r="E8" s="2"/>
      <c r="F8" s="21"/>
      <c r="G8" s="22"/>
      <c r="N8" s="3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2:29" x14ac:dyDescent="0.35">
      <c r="N9" s="3" t="s">
        <v>26</v>
      </c>
      <c r="O9" s="4">
        <v>2110416</v>
      </c>
      <c r="P9" s="7">
        <v>1935552</v>
      </c>
      <c r="Q9" s="7">
        <v>1867728</v>
      </c>
      <c r="R9" s="7">
        <v>1701168</v>
      </c>
      <c r="S9" s="7">
        <v>1672080</v>
      </c>
      <c r="T9" s="7">
        <v>1569552</v>
      </c>
      <c r="U9" s="7">
        <v>1438992</v>
      </c>
      <c r="V9" s="7">
        <v>1355136</v>
      </c>
      <c r="W9" s="7">
        <v>1296288</v>
      </c>
      <c r="X9" s="7">
        <v>1277328</v>
      </c>
      <c r="Y9" s="7">
        <v>1245216</v>
      </c>
      <c r="Z9" s="7">
        <v>1242432</v>
      </c>
      <c r="AA9" s="1">
        <v>1206576</v>
      </c>
    </row>
    <row r="10" spans="2:29" s="8" customFormat="1" ht="18.5" x14ac:dyDescent="0.45">
      <c r="B10" s="25" t="s">
        <v>42</v>
      </c>
      <c r="C10" s="19"/>
      <c r="D10" s="19"/>
      <c r="E10" s="19"/>
      <c r="F10" s="19"/>
      <c r="G10" s="19"/>
      <c r="H10" s="19"/>
      <c r="I10" s="20"/>
      <c r="J10" s="19"/>
      <c r="N10" s="9" t="s">
        <v>24</v>
      </c>
      <c r="O10" s="8" t="s">
        <v>28</v>
      </c>
      <c r="P10" s="8" t="s">
        <v>28</v>
      </c>
      <c r="Q10" s="8" t="s">
        <v>28</v>
      </c>
      <c r="R10" s="8" t="s">
        <v>28</v>
      </c>
      <c r="S10" s="8" t="s">
        <v>28</v>
      </c>
      <c r="T10" s="8" t="s">
        <v>28</v>
      </c>
      <c r="U10" s="8" t="s">
        <v>28</v>
      </c>
      <c r="V10" s="8" t="s">
        <v>28</v>
      </c>
      <c r="W10" s="8" t="s">
        <v>28</v>
      </c>
      <c r="X10" s="8" t="s">
        <v>28</v>
      </c>
      <c r="Y10" s="8" t="s">
        <v>28</v>
      </c>
      <c r="Z10" s="10" t="s">
        <v>28</v>
      </c>
      <c r="AA10" s="8">
        <v>1809864</v>
      </c>
      <c r="AC10" s="19"/>
    </row>
    <row r="11" spans="2:29" x14ac:dyDescent="0.35">
      <c r="I11" s="14"/>
      <c r="N11" s="3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</row>
    <row r="12" spans="2:29" s="11" customFormat="1" x14ac:dyDescent="0.35">
      <c r="B12" s="69" t="s">
        <v>6</v>
      </c>
      <c r="C12" s="69"/>
      <c r="D12" s="69"/>
      <c r="E12" s="69"/>
      <c r="F12" s="69"/>
      <c r="H12" s="69" t="s">
        <v>7</v>
      </c>
      <c r="I12" s="69"/>
      <c r="J12" s="69"/>
    </row>
    <row r="13" spans="2:29" ht="8.5" customHeight="1" x14ac:dyDescent="0.35">
      <c r="C13" s="14"/>
      <c r="D13" s="3"/>
      <c r="I13" s="14"/>
    </row>
    <row r="14" spans="2:29" x14ac:dyDescent="0.35">
      <c r="B14" s="15"/>
      <c r="C14" s="65" t="s">
        <v>0</v>
      </c>
      <c r="D14" s="65"/>
      <c r="E14" s="65"/>
      <c r="F14" s="37">
        <f>(G5+G6)</f>
        <v>20500</v>
      </c>
      <c r="G14" s="38" t="s">
        <v>38</v>
      </c>
      <c r="H14" s="38"/>
      <c r="I14" s="39" t="s">
        <v>0</v>
      </c>
      <c r="J14" s="37">
        <f>G5</f>
        <v>20000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37" t="s">
        <v>38</v>
      </c>
    </row>
    <row r="15" spans="2:29" ht="27" customHeight="1" x14ac:dyDescent="0.35">
      <c r="C15" s="28"/>
      <c r="D15" s="28"/>
      <c r="E15" s="40"/>
      <c r="F15" s="28"/>
      <c r="G15" s="28"/>
      <c r="H15" s="28"/>
      <c r="I15" s="26" t="s">
        <v>8</v>
      </c>
      <c r="J15" s="27">
        <f>G6</f>
        <v>500</v>
      </c>
      <c r="K15" s="28"/>
      <c r="L15" s="28"/>
      <c r="M15" s="28"/>
      <c r="N15" s="41" t="s">
        <v>15</v>
      </c>
      <c r="O15" s="42" t="s">
        <v>16</v>
      </c>
      <c r="P15" s="43" t="s">
        <v>17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7" t="s">
        <v>38</v>
      </c>
    </row>
    <row r="16" spans="2:29" x14ac:dyDescent="0.35">
      <c r="B16" s="15"/>
      <c r="C16" s="65" t="s">
        <v>1</v>
      </c>
      <c r="D16" s="65"/>
      <c r="E16" s="65"/>
      <c r="F16" s="37">
        <f>(G5+G6)*12</f>
        <v>246000</v>
      </c>
      <c r="G16" s="38" t="s">
        <v>38</v>
      </c>
      <c r="H16" s="38"/>
      <c r="I16" s="39" t="s">
        <v>1</v>
      </c>
      <c r="J16" s="37">
        <f>G5*12+MAX(G6*12-O3,0)</f>
        <v>240000</v>
      </c>
      <c r="K16" s="28"/>
      <c r="L16" s="28"/>
      <c r="M16" s="28"/>
      <c r="N16" s="44" t="s">
        <v>18</v>
      </c>
      <c r="O16" s="45">
        <v>4.4999999999999998E-2</v>
      </c>
      <c r="P16" s="46">
        <v>0.09</v>
      </c>
      <c r="Q16" s="28"/>
      <c r="R16" s="28" t="s">
        <v>22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37" t="s">
        <v>38</v>
      </c>
    </row>
    <row r="17" spans="1:29" hidden="1" x14ac:dyDescent="0.35">
      <c r="A17" s="13" t="s">
        <v>34</v>
      </c>
      <c r="C17" s="28"/>
      <c r="D17" s="47"/>
      <c r="E17" s="48" t="s">
        <v>2</v>
      </c>
      <c r="F17" s="49">
        <f>(G5+G6)*12*(1+0.338)</f>
        <v>329148</v>
      </c>
      <c r="G17" s="47"/>
      <c r="H17" s="47"/>
      <c r="I17" s="50" t="s">
        <v>2</v>
      </c>
      <c r="J17" s="51">
        <f>(G5*12+MAX(G6*12-O3,0))*(1+$P$18)</f>
        <v>321120</v>
      </c>
      <c r="K17" s="28"/>
      <c r="L17" s="28"/>
      <c r="M17" s="28"/>
      <c r="N17" s="52" t="s">
        <v>3</v>
      </c>
      <c r="O17" s="53">
        <v>6.5000000000000002E-2</v>
      </c>
      <c r="P17" s="53">
        <v>0.248</v>
      </c>
      <c r="Q17" s="28"/>
      <c r="R17" s="54" t="s">
        <v>21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51"/>
    </row>
    <row r="18" spans="1:29" x14ac:dyDescent="0.35">
      <c r="C18" s="64" t="s">
        <v>41</v>
      </c>
      <c r="D18" s="64"/>
      <c r="E18" s="64"/>
      <c r="F18" s="27">
        <f>MIN(2110416,(G5+G6)*12)*0.065</f>
        <v>15990</v>
      </c>
      <c r="G18" s="28" t="s">
        <v>38</v>
      </c>
      <c r="H18" s="28"/>
      <c r="I18" s="55" t="s">
        <v>41</v>
      </c>
      <c r="J18" s="27">
        <f>MIN(2110416,(G5*12+MAX(G6*12-50000,0)))*0.065</f>
        <v>15600</v>
      </c>
      <c r="K18" s="28"/>
      <c r="L18" s="28"/>
      <c r="M18" s="28"/>
      <c r="N18" s="56" t="s">
        <v>19</v>
      </c>
      <c r="O18" s="57">
        <f>O16+O17</f>
        <v>0.11</v>
      </c>
      <c r="P18" s="53">
        <f>P16+P17</f>
        <v>0.33799999999999997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7" t="s">
        <v>38</v>
      </c>
    </row>
    <row r="19" spans="1:29" x14ac:dyDescent="0.35">
      <c r="B19" s="15"/>
      <c r="C19" s="65" t="s">
        <v>4</v>
      </c>
      <c r="D19" s="65"/>
      <c r="E19" s="65"/>
      <c r="F19" s="37">
        <f>(G5+G6)*12*0.045</f>
        <v>11070</v>
      </c>
      <c r="G19" s="38" t="s">
        <v>38</v>
      </c>
      <c r="H19" s="38"/>
      <c r="I19" s="39" t="s">
        <v>4</v>
      </c>
      <c r="J19" s="37">
        <f>(G5*12+MAX(G6*12-50000,0))*0.045</f>
        <v>10800</v>
      </c>
      <c r="K19" s="28"/>
      <c r="L19" s="28"/>
      <c r="M19" s="28"/>
      <c r="N19" s="58" t="s">
        <v>32</v>
      </c>
      <c r="O19" s="59">
        <v>6.0000000000000001E-3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37" t="s">
        <v>38</v>
      </c>
    </row>
    <row r="20" spans="1:29" x14ac:dyDescent="0.35">
      <c r="C20" s="64" t="s">
        <v>35</v>
      </c>
      <c r="D20" s="64"/>
      <c r="E20" s="64"/>
      <c r="F20" s="27">
        <f>(G5+G6)*12*0.006</f>
        <v>1476</v>
      </c>
      <c r="G20" s="28" t="s">
        <v>38</v>
      </c>
      <c r="H20" s="28"/>
      <c r="I20" s="55" t="s">
        <v>35</v>
      </c>
      <c r="J20" s="27">
        <f>(G5*12+MAX(G6*12-50000,0))*0.006</f>
        <v>1440</v>
      </c>
      <c r="K20" s="28"/>
      <c r="L20" s="28"/>
      <c r="M20" s="28"/>
      <c r="N20" s="5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7" t="s">
        <v>38</v>
      </c>
    </row>
    <row r="21" spans="1:29" x14ac:dyDescent="0.35">
      <c r="B21" s="15"/>
      <c r="C21" s="65" t="s">
        <v>5</v>
      </c>
      <c r="D21" s="65"/>
      <c r="E21" s="65"/>
      <c r="F21" s="37">
        <f>CEILING((G5+G6),100)*12*0.15-30840</f>
        <v>6060</v>
      </c>
      <c r="G21" s="37" t="s">
        <v>38</v>
      </c>
      <c r="H21" s="38"/>
      <c r="I21" s="39" t="s">
        <v>5</v>
      </c>
      <c r="J21" s="37">
        <f>CEILING(G5+MAX(G6*12-50000,0)/12,100)*12*0.15-30840</f>
        <v>5160</v>
      </c>
      <c r="K21" s="28"/>
      <c r="L21" s="28"/>
      <c r="M21" s="28"/>
      <c r="N21" s="58" t="s">
        <v>20</v>
      </c>
      <c r="O21" s="57">
        <v>0.15</v>
      </c>
      <c r="P21" s="60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37" t="s">
        <v>38</v>
      </c>
    </row>
    <row r="22" spans="1:29" s="18" customFormat="1" ht="19.5" customHeight="1" x14ac:dyDescent="0.35">
      <c r="B22" s="17"/>
      <c r="C22" s="66" t="s">
        <v>9</v>
      </c>
      <c r="D22" s="66"/>
      <c r="E22" s="66"/>
      <c r="F22" s="32">
        <f>F16-F18-F19-F21-F20</f>
        <v>211404</v>
      </c>
      <c r="G22" s="33" t="s">
        <v>38</v>
      </c>
      <c r="H22" s="34"/>
      <c r="I22" s="35" t="s">
        <v>9</v>
      </c>
      <c r="J22" s="32">
        <f>J16-J18-J19-J21+MIN(G6*12,50000)</f>
        <v>214440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2" t="s">
        <v>38</v>
      </c>
    </row>
    <row r="23" spans="1:29" ht="26" customHeight="1" x14ac:dyDescent="0.35">
      <c r="I23" s="14"/>
    </row>
    <row r="24" spans="1:29" s="8" customFormat="1" ht="18.5" x14ac:dyDescent="0.45">
      <c r="B24" s="25" t="s">
        <v>43</v>
      </c>
      <c r="C24" s="19"/>
      <c r="D24" s="19"/>
      <c r="E24" s="19"/>
      <c r="F24" s="19"/>
      <c r="G24" s="19"/>
      <c r="H24" s="19"/>
      <c r="I24" s="20"/>
      <c r="J24" s="19"/>
      <c r="N24" s="9"/>
      <c r="Z24" s="10"/>
      <c r="AC24" s="19"/>
    </row>
    <row r="25" spans="1:29" x14ac:dyDescent="0.35">
      <c r="I25" s="14"/>
    </row>
    <row r="26" spans="1:29" s="11" customFormat="1" x14ac:dyDescent="0.35">
      <c r="B26" s="69" t="s">
        <v>6</v>
      </c>
      <c r="C26" s="69"/>
      <c r="D26" s="69"/>
      <c r="E26" s="69"/>
      <c r="F26" s="69"/>
      <c r="H26" s="69" t="s">
        <v>7</v>
      </c>
      <c r="I26" s="69"/>
      <c r="J26" s="69"/>
    </row>
    <row r="27" spans="1:29" ht="8.5" customHeight="1" x14ac:dyDescent="0.35">
      <c r="C27" s="14"/>
      <c r="D27" s="3"/>
      <c r="I27" s="14"/>
    </row>
    <row r="28" spans="1:29" x14ac:dyDescent="0.35">
      <c r="B28" s="15"/>
      <c r="C28" s="65" t="s">
        <v>0</v>
      </c>
      <c r="D28" s="65"/>
      <c r="E28" s="65"/>
      <c r="F28" s="37">
        <f>($G$5+$G$6)</f>
        <v>20500</v>
      </c>
      <c r="G28" s="38" t="s">
        <v>38</v>
      </c>
      <c r="H28" s="38"/>
      <c r="I28" s="39" t="s">
        <v>0</v>
      </c>
      <c r="J28" s="37">
        <f>G5</f>
        <v>20000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37" t="s">
        <v>38</v>
      </c>
    </row>
    <row r="29" spans="1:29" ht="27" customHeight="1" x14ac:dyDescent="0.35">
      <c r="C29" s="28"/>
      <c r="D29" s="28"/>
      <c r="E29" s="40"/>
      <c r="F29" s="28"/>
      <c r="G29" s="28"/>
      <c r="H29" s="26"/>
      <c r="I29" s="26" t="s">
        <v>8</v>
      </c>
      <c r="J29" s="27">
        <f>G6</f>
        <v>500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7" t="s">
        <v>38</v>
      </c>
    </row>
    <row r="30" spans="1:29" x14ac:dyDescent="0.35">
      <c r="B30" s="15"/>
      <c r="C30" s="65" t="s">
        <v>1</v>
      </c>
      <c r="D30" s="65"/>
      <c r="E30" s="65"/>
      <c r="F30" s="37">
        <f>(G5+G6)*12</f>
        <v>246000</v>
      </c>
      <c r="G30" s="38" t="s">
        <v>38</v>
      </c>
      <c r="H30" s="38"/>
      <c r="I30" s="39" t="s">
        <v>1</v>
      </c>
      <c r="J30" s="37">
        <f>G5*12+MAX(G6*12-50000,0)</f>
        <v>240000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37" t="s">
        <v>38</v>
      </c>
    </row>
    <row r="31" spans="1:29" hidden="1" x14ac:dyDescent="0.35">
      <c r="A31" s="13" t="s">
        <v>34</v>
      </c>
      <c r="C31" s="28"/>
      <c r="D31" s="47"/>
      <c r="E31" s="48" t="s">
        <v>2</v>
      </c>
      <c r="F31" s="61">
        <f>(G5+G6)*12*(1+0.338)</f>
        <v>329148</v>
      </c>
      <c r="G31" s="47"/>
      <c r="H31" s="47"/>
      <c r="I31" s="50" t="s">
        <v>2</v>
      </c>
      <c r="J31" s="61">
        <f>(G5*12+MAX(G6*12-50000,0))*(1+0.338)</f>
        <v>321120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61"/>
    </row>
    <row r="32" spans="1:29" x14ac:dyDescent="0.35">
      <c r="C32" s="64" t="s">
        <v>41</v>
      </c>
      <c r="D32" s="64"/>
      <c r="E32" s="64"/>
      <c r="F32" s="27">
        <f>MIN(2110416,(G5+G6)*12)*0.248</f>
        <v>61008</v>
      </c>
      <c r="G32" s="28" t="s">
        <v>38</v>
      </c>
      <c r="H32" s="28"/>
      <c r="I32" s="55" t="s">
        <v>41</v>
      </c>
      <c r="J32" s="27">
        <f>MIN(2110416,(G5*12+MAX(G6*12-50000,0)))*0.248</f>
        <v>59520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7" t="s">
        <v>38</v>
      </c>
    </row>
    <row r="33" spans="2:29" x14ac:dyDescent="0.35">
      <c r="B33" s="15"/>
      <c r="C33" s="65" t="s">
        <v>4</v>
      </c>
      <c r="D33" s="65"/>
      <c r="E33" s="65"/>
      <c r="F33" s="37">
        <f>(G5+G6)*12*0.09</f>
        <v>22140</v>
      </c>
      <c r="G33" s="38" t="s">
        <v>38</v>
      </c>
      <c r="H33" s="38"/>
      <c r="I33" s="39" t="s">
        <v>4</v>
      </c>
      <c r="J33" s="37">
        <f>(G5*12+MAX(G6*12-50000,0))*0.09</f>
        <v>21600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37" t="s">
        <v>38</v>
      </c>
    </row>
    <row r="34" spans="2:29" s="18" customFormat="1" ht="20" customHeight="1" x14ac:dyDescent="0.35">
      <c r="B34" s="17"/>
      <c r="C34" s="66" t="s">
        <v>10</v>
      </c>
      <c r="D34" s="66"/>
      <c r="E34" s="66"/>
      <c r="F34" s="32">
        <f>F30+F32+F33</f>
        <v>329148</v>
      </c>
      <c r="G34" s="33" t="s">
        <v>38</v>
      </c>
      <c r="H34" s="34"/>
      <c r="I34" s="35" t="s">
        <v>10</v>
      </c>
      <c r="J34" s="32">
        <f>J30+J32+J33+MIN(G6*12,50000)</f>
        <v>327120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2" t="s">
        <v>38</v>
      </c>
    </row>
    <row r="35" spans="2:29" x14ac:dyDescent="0.35">
      <c r="I35" s="14"/>
    </row>
    <row r="36" spans="2:29" ht="18" x14ac:dyDescent="0.4">
      <c r="B36" s="31" t="s">
        <v>45</v>
      </c>
      <c r="I36" s="14"/>
    </row>
    <row r="37" spans="2:29" ht="18.5" x14ac:dyDescent="0.45">
      <c r="B37" s="8"/>
      <c r="I37" s="14"/>
    </row>
    <row r="38" spans="2:29" ht="26" customHeight="1" x14ac:dyDescent="0.35">
      <c r="B38" s="67" t="s">
        <v>40</v>
      </c>
      <c r="C38" s="67"/>
      <c r="D38" s="67"/>
      <c r="E38" s="67"/>
      <c r="F38" s="67"/>
      <c r="G38" s="67"/>
      <c r="H38" s="67"/>
      <c r="I38" s="67"/>
      <c r="J38" s="67"/>
    </row>
    <row r="39" spans="2:29" x14ac:dyDescent="0.35">
      <c r="B39" s="14"/>
      <c r="I39" s="14"/>
    </row>
    <row r="40" spans="2:29" x14ac:dyDescent="0.35">
      <c r="B40" s="63" t="s">
        <v>12</v>
      </c>
      <c r="C40" s="63"/>
      <c r="D40" s="63"/>
      <c r="E40" s="63"/>
      <c r="F40" s="63"/>
      <c r="G40" s="4"/>
      <c r="H40" s="4"/>
      <c r="I40" s="16">
        <f>(J22-F22)</f>
        <v>3036</v>
      </c>
      <c r="J40" s="30" t="s">
        <v>38</v>
      </c>
    </row>
    <row r="41" spans="2:29" x14ac:dyDescent="0.35">
      <c r="B41" s="12" t="s">
        <v>13</v>
      </c>
      <c r="C41" s="12"/>
      <c r="D41" s="12"/>
      <c r="E41" s="12"/>
      <c r="F41" s="12"/>
      <c r="G41" s="4"/>
      <c r="H41" s="4"/>
      <c r="I41" s="16">
        <f>F34-J34</f>
        <v>2028</v>
      </c>
      <c r="J41" s="30" t="s">
        <v>38</v>
      </c>
    </row>
    <row r="42" spans="2:29" x14ac:dyDescent="0.35">
      <c r="B42" s="12" t="str">
        <f>IF(G7&gt;1,"Zaměstnavatel, celková úspora na všechny zaměstnance / ročně:","")</f>
        <v>Zaměstnavatel, celková úspora na všechny zaměstnance / ročně:</v>
      </c>
      <c r="C42" s="12"/>
      <c r="D42" s="12"/>
      <c r="E42" s="12"/>
      <c r="F42" s="12"/>
      <c r="G42" s="4"/>
      <c r="H42" s="4"/>
      <c r="I42" s="16">
        <f>IF(G7&gt;1,(F34-J34)*G7,"")</f>
        <v>6084</v>
      </c>
      <c r="J42" s="30" t="s">
        <v>38</v>
      </c>
    </row>
    <row r="45" spans="2:29" x14ac:dyDescent="0.35">
      <c r="B45" s="29" t="s">
        <v>44</v>
      </c>
    </row>
  </sheetData>
  <sheetProtection algorithmName="SHA-512" hashValue="nkYMBsSPOgh4x8KpO1jOCbtmeNEeBK9EM5srx4n30jEDpS3Zme3HWlfo/igpwqPjtMAV4LQbjoHvi0LVpFIYIA==" saltValue="yAXzZ7tgmQ2xcuE1vVXpMw==" spinCount="100000" sheet="1" objects="1" scenarios="1"/>
  <mergeCells count="21">
    <mergeCell ref="C5:F5"/>
    <mergeCell ref="C6:F6"/>
    <mergeCell ref="C7:F7"/>
    <mergeCell ref="H12:J12"/>
    <mergeCell ref="H26:J26"/>
    <mergeCell ref="B12:F12"/>
    <mergeCell ref="C21:E21"/>
    <mergeCell ref="C22:E22"/>
    <mergeCell ref="B26:F26"/>
    <mergeCell ref="C28:E28"/>
    <mergeCell ref="C30:E30"/>
    <mergeCell ref="C14:E14"/>
    <mergeCell ref="C16:E16"/>
    <mergeCell ref="C18:E18"/>
    <mergeCell ref="C19:E19"/>
    <mergeCell ref="C20:E20"/>
    <mergeCell ref="B40:F40"/>
    <mergeCell ref="C32:E32"/>
    <mergeCell ref="C33:E33"/>
    <mergeCell ref="C34:E34"/>
    <mergeCell ref="B38:J38"/>
  </mergeCells>
  <hyperlinks>
    <hyperlink ref="S2" r:id="rId1" xr:uid="{6FC3D63D-F682-4E8B-BA50-80ECA6D95B87}"/>
    <hyperlink ref="R17" r:id="rId2" xr:uid="{517D9454-B747-44F5-A10D-45E4CD3BCB90}"/>
    <hyperlink ref="P6" r:id="rId3" xr:uid="{503F091C-2082-4549-8F64-38A994C6044B}"/>
  </hyperlinks>
  <pageMargins left="0.70866141732283472" right="0.70866141732283472" top="0.78740157480314965" bottom="0.78740157480314965" header="0.31496062992125984" footer="0.31496062992125984"/>
  <pageSetup paperSize="9" scale="7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Kalkulacka</vt:lpstr>
    </vt:vector>
  </TitlesOfParts>
  <Company>Generali Infrastructure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Mrázek Jan</dc:creator>
  <cp:lastModifiedBy>Mráz Hynek</cp:lastModifiedBy>
  <cp:lastPrinted>2024-08-08T07:46:52Z</cp:lastPrinted>
  <dcterms:created xsi:type="dcterms:W3CDTF">2018-11-28T13:13:38Z</dcterms:created>
  <dcterms:modified xsi:type="dcterms:W3CDTF">2024-08-08T07:50:16Z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ea042c-a03b-4f42-9230-ed9e54821bd9_Enabled">
    <vt:lpwstr>true</vt:lpwstr>
  </property>
  <property fmtid="{D5CDD505-2E9C-101B-9397-08002B2CF9AE}" pid="3" name="MSIP_Label_7aea042c-a03b-4f42-9230-ed9e54821bd9_SetDate">
    <vt:lpwstr>2024-08-08T07:48:41Z</vt:lpwstr>
  </property>
  <property fmtid="{D5CDD505-2E9C-101B-9397-08002B2CF9AE}" pid="4" name="MSIP_Label_7aea042c-a03b-4f42-9230-ed9e54821bd9_Method">
    <vt:lpwstr>Privileged</vt:lpwstr>
  </property>
  <property fmtid="{D5CDD505-2E9C-101B-9397-08002B2CF9AE}" pid="5" name="MSIP_Label_7aea042c-a03b-4f42-9230-ed9e54821bd9_Name">
    <vt:lpwstr>Veřejné-CZE-Neviditelna</vt:lpwstr>
  </property>
  <property fmtid="{D5CDD505-2E9C-101B-9397-08002B2CF9AE}" pid="6" name="MSIP_Label_7aea042c-a03b-4f42-9230-ed9e54821bd9_SiteId">
    <vt:lpwstr>cbeb3ecc-6f45-4183-b5a8-088140deae5d</vt:lpwstr>
  </property>
  <property fmtid="{D5CDD505-2E9C-101B-9397-08002B2CF9AE}" pid="7" name="MSIP_Label_7aea042c-a03b-4f42-9230-ed9e54821bd9_ActionId">
    <vt:lpwstr>bf1a0097-d3cc-446f-97fd-517b1c387165</vt:lpwstr>
  </property>
  <property fmtid="{D5CDD505-2E9C-101B-9397-08002B2CF9AE}" pid="8" name="MSIP_Label_7aea042c-a03b-4f42-9230-ed9e54821bd9_ContentBits">
    <vt:lpwstr>0</vt:lpwstr>
  </property>
</Properties>
</file>